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8620" windowHeight="12405" activeTab="1"/>
  </bookViews>
  <sheets>
    <sheet name="Plan1" sheetId="1" r:id="rId1"/>
    <sheet name="capital de giro" sheetId="2" r:id="rId2"/>
  </sheets>
  <definedNames>
    <definedName name="custo">Plan1!$C$10:$H$10</definedName>
    <definedName name="custo_unit">Plan1!$C$8:$H$8</definedName>
    <definedName name="depreciação">Plan1!$C$35:$H$35</definedName>
    <definedName name="fluxo_caixa">Plan1!$C$63:$H$63</definedName>
    <definedName name="fluxo_caixa_real">Plan1!$C$74:$H$74</definedName>
    <definedName name="ganhos_capital">Plan1!$C$50:$H$50</definedName>
    <definedName name="investimentos">Plan1!$C$28:$H$28</definedName>
    <definedName name="ir">Plan1!$C$43</definedName>
    <definedName name="lucro">Plan1!$C$55:$H$55</definedName>
    <definedName name="preço">Plan1!$C$16:$H$16</definedName>
    <definedName name="produção">Plan1!$C$9:$H$9</definedName>
    <definedName name="receita">Plan1!$C$18:$H$18</definedName>
    <definedName name="taxa_depreciação">Plan1!$C$31</definedName>
    <definedName name="taxa_inflação">Plan1!$C$71</definedName>
    <definedName name="tx_custos_operacionais">Plan1!$C$5</definedName>
    <definedName name="tx_desc">Plan1!$C$66</definedName>
    <definedName name="tx_desc_real">Plan1!$C$77</definedName>
    <definedName name="tx_preço_produto">Plan1!$C$13</definedName>
    <definedName name="vendas">Plan1!$C$17:$H$17</definedName>
  </definedNames>
  <calcPr calcId="145621"/>
</workbook>
</file>

<file path=xl/calcChain.xml><?xml version="1.0" encoding="utf-8"?>
<calcChain xmlns="http://schemas.openxmlformats.org/spreadsheetml/2006/main">
  <c r="C77" i="1" l="1"/>
  <c r="C78" i="1"/>
  <c r="C76" i="1"/>
  <c r="H74" i="1"/>
  <c r="G74" i="1"/>
  <c r="F74" i="1"/>
  <c r="E74" i="1"/>
  <c r="D74" i="1"/>
  <c r="C74" i="1"/>
  <c r="C8" i="2"/>
  <c r="G62" i="1"/>
  <c r="F62" i="1"/>
  <c r="E62" i="1"/>
  <c r="D62" i="1"/>
  <c r="C62" i="1"/>
  <c r="C61" i="1"/>
  <c r="C48" i="1"/>
  <c r="F34" i="1"/>
  <c r="E34" i="1"/>
  <c r="D34" i="1"/>
  <c r="C34" i="1"/>
  <c r="H28" i="1"/>
  <c r="G28" i="1"/>
  <c r="F28" i="1"/>
  <c r="E28" i="1"/>
  <c r="D28" i="1"/>
  <c r="C28" i="1"/>
  <c r="H27" i="1"/>
  <c r="G27" i="1"/>
  <c r="F27" i="1"/>
  <c r="E27" i="1"/>
  <c r="D27" i="1"/>
  <c r="C27" i="1"/>
  <c r="D10" i="1"/>
  <c r="D47" i="1" s="1"/>
  <c r="C9" i="1"/>
  <c r="C10" i="1" s="1"/>
  <c r="C47" i="1" s="1"/>
  <c r="E35" i="1" l="1"/>
  <c r="E48" i="1" s="1"/>
  <c r="E61" i="1"/>
  <c r="D35" i="1"/>
  <c r="F35" i="1"/>
  <c r="G34" i="1"/>
  <c r="H34" i="1"/>
  <c r="H50" i="1" s="1"/>
  <c r="H62" i="1" s="1"/>
  <c r="D18" i="1"/>
  <c r="D46" i="1" s="1"/>
  <c r="C18" i="1"/>
  <c r="C46" i="1" s="1"/>
  <c r="C49" i="1" s="1"/>
  <c r="C51" i="1" s="1"/>
  <c r="C53" i="1" s="1"/>
  <c r="E8" i="1"/>
  <c r="E10" i="1" s="1"/>
  <c r="E47" i="1" s="1"/>
  <c r="E16" i="1"/>
  <c r="E18" i="1" s="1"/>
  <c r="E46" i="1" s="1"/>
  <c r="F48" i="1" l="1"/>
  <c r="F61" i="1"/>
  <c r="D48" i="1"/>
  <c r="D49" i="1" s="1"/>
  <c r="D51" i="1" s="1"/>
  <c r="D53" i="1" s="1"/>
  <c r="D61" i="1"/>
  <c r="E49" i="1"/>
  <c r="E51" i="1" s="1"/>
  <c r="E53" i="1" s="1"/>
  <c r="C54" i="1"/>
  <c r="C55" i="1"/>
  <c r="C60" i="1" s="1"/>
  <c r="C63" i="1" s="1"/>
  <c r="H35" i="1"/>
  <c r="G35" i="1"/>
  <c r="F16" i="1"/>
  <c r="F8" i="1"/>
  <c r="F10" i="1" s="1"/>
  <c r="F47" i="1" s="1"/>
  <c r="D54" i="1" l="1"/>
  <c r="D55" i="1"/>
  <c r="D60" i="1" s="1"/>
  <c r="D63" i="1" s="1"/>
  <c r="G48" i="1"/>
  <c r="G61" i="1"/>
  <c r="H48" i="1"/>
  <c r="H61" i="1"/>
  <c r="E54" i="1"/>
  <c r="E55" i="1"/>
  <c r="E60" i="1" s="1"/>
  <c r="E63" i="1" s="1"/>
  <c r="G8" i="1"/>
  <c r="G10" i="1" s="1"/>
  <c r="G47" i="1" s="1"/>
  <c r="G16" i="1"/>
  <c r="F18" i="1"/>
  <c r="F46" i="1" s="1"/>
  <c r="F49" i="1" s="1"/>
  <c r="F51" i="1" s="1"/>
  <c r="F53" i="1" s="1"/>
  <c r="F54" i="1" l="1"/>
  <c r="F55" i="1"/>
  <c r="F60" i="1" s="1"/>
  <c r="F63" i="1" s="1"/>
  <c r="H16" i="1"/>
  <c r="H18" i="1" s="1"/>
  <c r="H46" i="1" s="1"/>
  <c r="G18" i="1"/>
  <c r="G46" i="1" s="1"/>
  <c r="G49" i="1" s="1"/>
  <c r="G51" i="1" s="1"/>
  <c r="G53" i="1" s="1"/>
  <c r="H8" i="1"/>
  <c r="H10" i="1" s="1"/>
  <c r="H47" i="1" s="1"/>
  <c r="G54" i="1" l="1"/>
  <c r="G55" i="1" s="1"/>
  <c r="G60" i="1" s="1"/>
  <c r="G63" i="1" s="1"/>
  <c r="H49" i="1"/>
  <c r="H51" i="1" s="1"/>
  <c r="H53" i="1" s="1"/>
  <c r="H54" i="1" l="1"/>
  <c r="H55" i="1" s="1"/>
  <c r="H60" i="1" s="1"/>
  <c r="H63" i="1" s="1"/>
  <c r="C65" i="1" s="1"/>
  <c r="C67" i="1" l="1"/>
</calcChain>
</file>

<file path=xl/sharedStrings.xml><?xml version="1.0" encoding="utf-8"?>
<sst xmlns="http://schemas.openxmlformats.org/spreadsheetml/2006/main" count="56" uniqueCount="50">
  <si>
    <t>Preço unitário</t>
  </si>
  <si>
    <t>Custo operacional unitário</t>
  </si>
  <si>
    <t>taxa de crescimento do preço do produto</t>
  </si>
  <si>
    <t>receita de vendas</t>
  </si>
  <si>
    <t>custo operacional</t>
  </si>
  <si>
    <t>Projeção de produção</t>
  </si>
  <si>
    <t>Projeção de custo</t>
  </si>
  <si>
    <t>Projeção de vendas</t>
  </si>
  <si>
    <t>Investimentos</t>
  </si>
  <si>
    <t>Equipamento</t>
  </si>
  <si>
    <t>Custo de oportunidade</t>
  </si>
  <si>
    <t>Capital de giro (final do ano)</t>
  </si>
  <si>
    <t>Variação no capital de giro</t>
  </si>
  <si>
    <t>Total</t>
  </si>
  <si>
    <t>Depreciação</t>
  </si>
  <si>
    <t>Base ajustada após depreciação</t>
  </si>
  <si>
    <t>Taxa de depreciação exponencial</t>
  </si>
  <si>
    <t>Depreciação exponencial à taxa de 1/5 * 2 (saldo decrescente a 200%) até o ano 3 e linear</t>
  </si>
  <si>
    <t xml:space="preserve">a partir daí com valor residual zero a partir do quinto ano. É suposto que o equipamento é </t>
  </si>
  <si>
    <t>adquirido no meio do ano</t>
  </si>
  <si>
    <t>DRE</t>
  </si>
  <si>
    <t>Receita operacional</t>
  </si>
  <si>
    <t>Custos dos produtos vendidos</t>
  </si>
  <si>
    <t>Resultado operacional</t>
  </si>
  <si>
    <t>Lucro antes dos juros e impostos</t>
  </si>
  <si>
    <t>Juros</t>
  </si>
  <si>
    <t>Impostos</t>
  </si>
  <si>
    <t>Lucro líquido</t>
  </si>
  <si>
    <t>alíquota do IR</t>
  </si>
  <si>
    <t>Ganhos de capital</t>
  </si>
  <si>
    <t>Lucro antes do imposto</t>
  </si>
  <si>
    <t>Fluxo de caixa</t>
  </si>
  <si>
    <t>Lucro liquido</t>
  </si>
  <si>
    <t>depreciacao</t>
  </si>
  <si>
    <t>investimentos - ganhos de capital</t>
  </si>
  <si>
    <t>VPL</t>
  </si>
  <si>
    <t>taxa de crescimento do custo operarional unitário</t>
  </si>
  <si>
    <t>Capital de giro: ano 1</t>
  </si>
  <si>
    <t>Contas a receber</t>
  </si>
  <si>
    <t xml:space="preserve"> - contas a pagar</t>
  </si>
  <si>
    <t>Estoque</t>
  </si>
  <si>
    <t>Saldo de caixa próximo ano</t>
  </si>
  <si>
    <t>TIR nominal</t>
  </si>
  <si>
    <t>Taxa de desconto nominal</t>
  </si>
  <si>
    <t>Fluxo de caixa nominal</t>
  </si>
  <si>
    <t>Fluxo de caixa real</t>
  </si>
  <si>
    <t>Taxa de inflação</t>
  </si>
  <si>
    <t>TIR real</t>
  </si>
  <si>
    <t>Taxa de desconto real</t>
  </si>
  <si>
    <t>VPL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</si>
</sst>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4" formatCode="&quot;Ano &quot;\ 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8">
    <xf numFmtId="0" fontId="0" fillId="0" borderId="0" xfId="0"/>
    <xf numFmtId="0" fontId="0" fillId="0" borderId="0" xfId="0" applyAlignment="1">
      <alignment horizontal="right"/>
    </xf>
    <xf numFmtId="9" fontId="0" fillId="0" borderId="0" xfId="0" applyNumberFormat="1"/>
    <xf numFmtId="43" fontId="0" fillId="0" borderId="0" xfId="1" applyFont="1"/>
    <xf numFmtId="0" fontId="2" fillId="0" borderId="1" xfId="3"/>
    <xf numFmtId="0" fontId="0" fillId="0" borderId="0" xfId="0" applyAlignment="1">
      <alignment horizontal="left"/>
    </xf>
    <xf numFmtId="43" fontId="0" fillId="0" borderId="0" xfId="0" applyNumberFormat="1"/>
    <xf numFmtId="8" fontId="0" fillId="0" borderId="0" xfId="0" applyNumberFormat="1"/>
    <xf numFmtId="0" fontId="0" fillId="0" borderId="2" xfId="0" applyBorder="1" applyAlignment="1">
      <alignment horizontal="right"/>
    </xf>
    <xf numFmtId="164" fontId="0" fillId="0" borderId="2" xfId="0" applyNumberForma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0" fillId="0" borderId="2" xfId="0" applyBorder="1"/>
    <xf numFmtId="43" fontId="3" fillId="0" borderId="2" xfId="1" applyFont="1" applyBorder="1"/>
    <xf numFmtId="164" fontId="3" fillId="0" borderId="2" xfId="0" applyNumberFormat="1" applyFont="1" applyBorder="1"/>
    <xf numFmtId="43" fontId="3" fillId="0" borderId="2" xfId="0" applyNumberFormat="1" applyFont="1" applyBorder="1"/>
    <xf numFmtId="10" fontId="0" fillId="0" borderId="0" xfId="0" applyNumberFormat="1"/>
    <xf numFmtId="10" fontId="0" fillId="0" borderId="0" xfId="2" applyNumberFormat="1" applyFont="1"/>
  </cellXfs>
  <cellStyles count="4">
    <cellStyle name="Normal" xfId="0" builtinId="0"/>
    <cellStyle name="Porcentagem" xfId="2" builtinId="5"/>
    <cellStyle name="Título 1" xfId="3" builtinId="16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8"/>
  <sheetViews>
    <sheetView topLeftCell="A10" workbookViewId="0">
      <selection activeCell="K68" sqref="K68"/>
    </sheetView>
  </sheetViews>
  <sheetFormatPr defaultRowHeight="15" x14ac:dyDescent="0.25"/>
  <cols>
    <col min="1" max="1" width="36.85546875" customWidth="1"/>
    <col min="2" max="2" width="9.28515625" customWidth="1"/>
    <col min="3" max="3" width="12.28515625" bestFit="1" customWidth="1"/>
    <col min="4" max="8" width="11.7109375" bestFit="1" customWidth="1"/>
  </cols>
  <sheetData>
    <row r="2" spans="1:8" ht="20.25" thickBot="1" x14ac:dyDescent="0.35">
      <c r="A2" s="4" t="s">
        <v>6</v>
      </c>
    </row>
    <row r="3" spans="1:8" ht="15.75" thickTop="1" x14ac:dyDescent="0.25">
      <c r="B3" s="1"/>
    </row>
    <row r="4" spans="1:8" x14ac:dyDescent="0.25">
      <c r="B4" s="1"/>
      <c r="C4" s="2"/>
    </row>
    <row r="5" spans="1:8" x14ac:dyDescent="0.25">
      <c r="B5" s="1" t="s">
        <v>36</v>
      </c>
      <c r="C5" s="2">
        <v>0.1</v>
      </c>
    </row>
    <row r="6" spans="1:8" x14ac:dyDescent="0.25">
      <c r="B6" s="1"/>
      <c r="C6" s="2"/>
    </row>
    <row r="7" spans="1:8" x14ac:dyDescent="0.25">
      <c r="B7" s="8"/>
      <c r="C7" s="9">
        <v>0</v>
      </c>
      <c r="D7" s="9">
        <v>1</v>
      </c>
      <c r="E7" s="9">
        <v>2</v>
      </c>
      <c r="F7" s="9">
        <v>3</v>
      </c>
      <c r="G7" s="9">
        <v>4</v>
      </c>
      <c r="H7" s="9">
        <v>5</v>
      </c>
    </row>
    <row r="8" spans="1:8" x14ac:dyDescent="0.25">
      <c r="B8" s="1" t="s">
        <v>1</v>
      </c>
      <c r="D8">
        <v>10</v>
      </c>
      <c r="E8">
        <f>D8*(1+tx_custos_operacionais)</f>
        <v>11</v>
      </c>
      <c r="F8">
        <f>E8*(1+tx_custos_operacionais)</f>
        <v>12.100000000000001</v>
      </c>
      <c r="G8">
        <f>F8*(1+tx_custos_operacionais)</f>
        <v>13.310000000000002</v>
      </c>
      <c r="H8">
        <f>G8*(1+tx_custos_operacionais)</f>
        <v>14.641000000000004</v>
      </c>
    </row>
    <row r="9" spans="1:8" x14ac:dyDescent="0.25">
      <c r="B9" s="1" t="s">
        <v>5</v>
      </c>
      <c r="C9">
        <f t="shared" ref="C9" si="0">vendas*custo_unit</f>
        <v>0</v>
      </c>
      <c r="D9">
        <v>5000</v>
      </c>
      <c r="E9">
        <v>8000</v>
      </c>
      <c r="F9">
        <v>12000</v>
      </c>
      <c r="G9">
        <v>10000</v>
      </c>
      <c r="H9">
        <v>6000</v>
      </c>
    </row>
    <row r="10" spans="1:8" x14ac:dyDescent="0.25">
      <c r="B10" s="10" t="s">
        <v>4</v>
      </c>
      <c r="C10" s="11">
        <f t="shared" ref="C10:H10" si="1">produção*custo_unit</f>
        <v>0</v>
      </c>
      <c r="D10" s="11">
        <f t="shared" si="1"/>
        <v>50000</v>
      </c>
      <c r="E10" s="11">
        <f t="shared" si="1"/>
        <v>88000</v>
      </c>
      <c r="F10" s="11">
        <f t="shared" si="1"/>
        <v>145200.00000000003</v>
      </c>
      <c r="G10" s="11">
        <f t="shared" si="1"/>
        <v>133100.00000000003</v>
      </c>
      <c r="H10" s="11">
        <f t="shared" si="1"/>
        <v>87846.000000000015</v>
      </c>
    </row>
    <row r="12" spans="1:8" ht="20.25" thickBot="1" x14ac:dyDescent="0.35">
      <c r="A12" s="4" t="s">
        <v>7</v>
      </c>
    </row>
    <row r="13" spans="1:8" ht="15.75" thickTop="1" x14ac:dyDescent="0.25">
      <c r="B13" s="1" t="s">
        <v>2</v>
      </c>
      <c r="C13" s="2">
        <v>0.02</v>
      </c>
    </row>
    <row r="15" spans="1:8" x14ac:dyDescent="0.25">
      <c r="B15" s="12"/>
      <c r="C15" s="9">
        <v>0</v>
      </c>
      <c r="D15" s="9">
        <v>1</v>
      </c>
      <c r="E15" s="9">
        <v>2</v>
      </c>
      <c r="F15" s="9">
        <v>3</v>
      </c>
      <c r="G15" s="9">
        <v>4</v>
      </c>
      <c r="H15" s="9">
        <v>5</v>
      </c>
    </row>
    <row r="16" spans="1:8" x14ac:dyDescent="0.25">
      <c r="B16" s="1" t="s">
        <v>0</v>
      </c>
      <c r="D16">
        <v>20</v>
      </c>
      <c r="E16">
        <f>D16*(1+tx_preço_produto)</f>
        <v>20.399999999999999</v>
      </c>
      <c r="F16">
        <f>E16*(1+tx_preço_produto)</f>
        <v>20.808</v>
      </c>
      <c r="G16">
        <f>F16*(1+tx_preço_produto)</f>
        <v>21.224160000000001</v>
      </c>
      <c r="H16">
        <f>G16*(1+tx_preço_produto)</f>
        <v>21.648643200000002</v>
      </c>
    </row>
    <row r="17" spans="1:8" x14ac:dyDescent="0.25">
      <c r="B17" s="1" t="s">
        <v>7</v>
      </c>
      <c r="D17">
        <v>5000</v>
      </c>
      <c r="E17">
        <v>8000</v>
      </c>
      <c r="F17">
        <v>12000</v>
      </c>
      <c r="G17">
        <v>10000</v>
      </c>
      <c r="H17">
        <v>6000</v>
      </c>
    </row>
    <row r="18" spans="1:8" x14ac:dyDescent="0.25">
      <c r="B18" s="10" t="s">
        <v>3</v>
      </c>
      <c r="C18" s="11">
        <f t="shared" ref="C18:H18" si="2">vendas*preço</f>
        <v>0</v>
      </c>
      <c r="D18" s="13">
        <f t="shared" si="2"/>
        <v>100000</v>
      </c>
      <c r="E18" s="13">
        <f t="shared" si="2"/>
        <v>163200</v>
      </c>
      <c r="F18" s="13">
        <f t="shared" si="2"/>
        <v>249696</v>
      </c>
      <c r="G18" s="13">
        <f t="shared" si="2"/>
        <v>212241.6</v>
      </c>
      <c r="H18" s="13">
        <f t="shared" si="2"/>
        <v>129891.85920000001</v>
      </c>
    </row>
    <row r="21" spans="1:8" ht="20.25" thickBot="1" x14ac:dyDescent="0.35">
      <c r="A21" s="4" t="s">
        <v>8</v>
      </c>
    </row>
    <row r="22" spans="1:8" ht="15.75" thickTop="1" x14ac:dyDescent="0.25"/>
    <row r="23" spans="1:8" x14ac:dyDescent="0.25">
      <c r="B23" s="11"/>
      <c r="C23" s="14">
        <v>0</v>
      </c>
      <c r="D23" s="14">
        <v>1</v>
      </c>
      <c r="E23" s="14">
        <v>2</v>
      </c>
      <c r="F23" s="14">
        <v>3</v>
      </c>
      <c r="G23" s="14">
        <v>4</v>
      </c>
      <c r="H23" s="14">
        <v>5</v>
      </c>
    </row>
    <row r="24" spans="1:8" x14ac:dyDescent="0.25">
      <c r="B24" s="1" t="s">
        <v>9</v>
      </c>
      <c r="C24">
        <v>-100000</v>
      </c>
      <c r="H24">
        <v>30000</v>
      </c>
    </row>
    <row r="25" spans="1:8" x14ac:dyDescent="0.25">
      <c r="B25" s="1" t="s">
        <v>10</v>
      </c>
      <c r="C25">
        <v>-150000</v>
      </c>
      <c r="H25">
        <v>150000</v>
      </c>
    </row>
    <row r="26" spans="1:8" x14ac:dyDescent="0.25">
      <c r="B26" s="1" t="s">
        <v>11</v>
      </c>
      <c r="C26">
        <v>10000</v>
      </c>
      <c r="D26">
        <v>10000</v>
      </c>
      <c r="E26">
        <v>16320</v>
      </c>
      <c r="F26">
        <v>24970</v>
      </c>
      <c r="G26">
        <v>21220</v>
      </c>
      <c r="H26">
        <v>0</v>
      </c>
    </row>
    <row r="27" spans="1:8" x14ac:dyDescent="0.25">
      <c r="B27" s="1" t="s">
        <v>12</v>
      </c>
      <c r="C27">
        <f>-C26</f>
        <v>-10000</v>
      </c>
      <c r="D27">
        <f>C26-D26</f>
        <v>0</v>
      </c>
      <c r="E27">
        <f t="shared" ref="E27:H27" si="3">D26-E26</f>
        <v>-6320</v>
      </c>
      <c r="F27">
        <f t="shared" si="3"/>
        <v>-8650</v>
      </c>
      <c r="G27">
        <f t="shared" si="3"/>
        <v>3750</v>
      </c>
      <c r="H27">
        <f t="shared" si="3"/>
        <v>21220</v>
      </c>
    </row>
    <row r="28" spans="1:8" x14ac:dyDescent="0.25">
      <c r="B28" s="10" t="s">
        <v>13</v>
      </c>
      <c r="C28" s="11">
        <f>SUM(C24:C25,C27)</f>
        <v>-260000</v>
      </c>
      <c r="D28" s="11">
        <f t="shared" ref="D28:H28" si="4">SUM(D24:D25,D27)</f>
        <v>0</v>
      </c>
      <c r="E28" s="11">
        <f t="shared" si="4"/>
        <v>-6320</v>
      </c>
      <c r="F28" s="11">
        <f t="shared" si="4"/>
        <v>-8650</v>
      </c>
      <c r="G28" s="11">
        <f t="shared" si="4"/>
        <v>3750</v>
      </c>
      <c r="H28" s="11">
        <f t="shared" si="4"/>
        <v>201220</v>
      </c>
    </row>
    <row r="30" spans="1:8" ht="20.25" thickBot="1" x14ac:dyDescent="0.35">
      <c r="A30" s="4" t="s">
        <v>14</v>
      </c>
    </row>
    <row r="31" spans="1:8" ht="15.75" thickTop="1" x14ac:dyDescent="0.25">
      <c r="B31" s="1" t="s">
        <v>16</v>
      </c>
      <c r="C31" s="2">
        <v>0.4</v>
      </c>
    </row>
    <row r="33" spans="1:8" x14ac:dyDescent="0.25">
      <c r="B33" s="8" t="s">
        <v>9</v>
      </c>
      <c r="C33" s="9">
        <v>0</v>
      </c>
      <c r="D33" s="9">
        <v>1</v>
      </c>
      <c r="E33" s="9">
        <v>2</v>
      </c>
      <c r="F33" s="9">
        <v>3</v>
      </c>
      <c r="G33" s="9">
        <v>4</v>
      </c>
      <c r="H33" s="9">
        <v>5</v>
      </c>
    </row>
    <row r="34" spans="1:8" x14ac:dyDescent="0.25">
      <c r="B34" s="1" t="s">
        <v>15</v>
      </c>
      <c r="C34">
        <f>-C24</f>
        <v>100000</v>
      </c>
      <c r="D34">
        <f>$C$34*((1-taxa_depreciação)^C33+(1-taxa_depreciação)^D33)/2</f>
        <v>80000</v>
      </c>
      <c r="E34">
        <f>$C$34*((1-taxa_depreciação)^D33+(1-taxa_depreciação)^E33)/2</f>
        <v>48000</v>
      </c>
      <c r="F34">
        <f>$C$34*((1-taxa_depreciação)^E33+(1-taxa_depreciação)^F33)/2</f>
        <v>28799.999999999996</v>
      </c>
      <c r="G34">
        <f>$F34*(1-2*(G33-$F$33)/5)</f>
        <v>17279.999999999996</v>
      </c>
      <c r="H34">
        <f>$F34*(1-2*(H33-$F$33)/5)</f>
        <v>5759.9999999999982</v>
      </c>
    </row>
    <row r="35" spans="1:8" x14ac:dyDescent="0.25">
      <c r="B35" s="10" t="s">
        <v>14</v>
      </c>
      <c r="C35" s="11"/>
      <c r="D35" s="11">
        <f>C34-D34</f>
        <v>20000</v>
      </c>
      <c r="E35" s="11">
        <f t="shared" ref="E35:F35" si="5">D34-E34</f>
        <v>32000</v>
      </c>
      <c r="F35" s="11">
        <f t="shared" si="5"/>
        <v>19200.000000000004</v>
      </c>
      <c r="G35" s="11">
        <f t="shared" ref="G35" si="6">F34-G34</f>
        <v>11520</v>
      </c>
      <c r="H35" s="11">
        <f t="shared" ref="H35" si="7">G34-H34</f>
        <v>11519.999999999998</v>
      </c>
    </row>
    <row r="37" spans="1:8" x14ac:dyDescent="0.25">
      <c r="B37" s="5" t="s">
        <v>17</v>
      </c>
    </row>
    <row r="38" spans="1:8" x14ac:dyDescent="0.25">
      <c r="B38" s="5" t="s">
        <v>18</v>
      </c>
    </row>
    <row r="39" spans="1:8" x14ac:dyDescent="0.25">
      <c r="B39" s="5" t="s">
        <v>19</v>
      </c>
    </row>
    <row r="41" spans="1:8" ht="20.25" thickBot="1" x14ac:dyDescent="0.35">
      <c r="A41" s="4" t="s">
        <v>20</v>
      </c>
    </row>
    <row r="42" spans="1:8" ht="15.75" thickTop="1" x14ac:dyDescent="0.25"/>
    <row r="43" spans="1:8" x14ac:dyDescent="0.25">
      <c r="B43" s="1" t="s">
        <v>28</v>
      </c>
      <c r="C43" s="2">
        <v>0.34</v>
      </c>
    </row>
    <row r="45" spans="1:8" x14ac:dyDescent="0.25">
      <c r="B45" s="10"/>
      <c r="C45" s="14">
        <v>0</v>
      </c>
      <c r="D45" s="14">
        <v>1</v>
      </c>
      <c r="E45" s="14">
        <v>2</v>
      </c>
      <c r="F45" s="14">
        <v>3</v>
      </c>
      <c r="G45" s="14">
        <v>4</v>
      </c>
      <c r="H45" s="14">
        <v>5</v>
      </c>
    </row>
    <row r="46" spans="1:8" x14ac:dyDescent="0.25">
      <c r="B46" s="1" t="s">
        <v>21</v>
      </c>
      <c r="C46" s="3">
        <f t="shared" ref="C46:H46" si="8">receita</f>
        <v>0</v>
      </c>
      <c r="D46" s="3">
        <f t="shared" si="8"/>
        <v>100000</v>
      </c>
      <c r="E46" s="3">
        <f t="shared" si="8"/>
        <v>163200</v>
      </c>
      <c r="F46" s="3">
        <f t="shared" si="8"/>
        <v>249696</v>
      </c>
      <c r="G46" s="3">
        <f t="shared" si="8"/>
        <v>212241.6</v>
      </c>
      <c r="H46" s="3">
        <f t="shared" si="8"/>
        <v>129891.85920000001</v>
      </c>
    </row>
    <row r="47" spans="1:8" x14ac:dyDescent="0.25">
      <c r="B47" s="1" t="s">
        <v>22</v>
      </c>
      <c r="C47" s="3">
        <f t="shared" ref="C47:H47" si="9">custo</f>
        <v>0</v>
      </c>
      <c r="D47" s="3">
        <f t="shared" si="9"/>
        <v>50000</v>
      </c>
      <c r="E47" s="3">
        <f t="shared" si="9"/>
        <v>88000</v>
      </c>
      <c r="F47" s="3">
        <f t="shared" si="9"/>
        <v>145200.00000000003</v>
      </c>
      <c r="G47" s="3">
        <f t="shared" si="9"/>
        <v>133100.00000000003</v>
      </c>
      <c r="H47" s="3">
        <f t="shared" si="9"/>
        <v>87846.000000000015</v>
      </c>
    </row>
    <row r="48" spans="1:8" x14ac:dyDescent="0.25">
      <c r="B48" s="1" t="s">
        <v>14</v>
      </c>
      <c r="C48" s="3">
        <f t="shared" ref="C48:H48" si="10">depreciação</f>
        <v>0</v>
      </c>
      <c r="D48" s="3">
        <f t="shared" si="10"/>
        <v>20000</v>
      </c>
      <c r="E48" s="3">
        <f t="shared" si="10"/>
        <v>32000</v>
      </c>
      <c r="F48" s="3">
        <f t="shared" si="10"/>
        <v>19200.000000000004</v>
      </c>
      <c r="G48" s="3">
        <f t="shared" si="10"/>
        <v>11520</v>
      </c>
      <c r="H48" s="3">
        <f t="shared" si="10"/>
        <v>11519.999999999998</v>
      </c>
    </row>
    <row r="49" spans="1:8" x14ac:dyDescent="0.25">
      <c r="B49" s="1" t="s">
        <v>23</v>
      </c>
      <c r="C49" s="3">
        <f>C46-C47-C48</f>
        <v>0</v>
      </c>
      <c r="D49" s="3">
        <f t="shared" ref="D49:H49" si="11">D46-D47-D48</f>
        <v>30000</v>
      </c>
      <c r="E49" s="3">
        <f t="shared" si="11"/>
        <v>43200</v>
      </c>
      <c r="F49" s="3">
        <f t="shared" si="11"/>
        <v>85295.999999999971</v>
      </c>
      <c r="G49" s="3">
        <f t="shared" si="11"/>
        <v>67621.599999999977</v>
      </c>
      <c r="H49" s="3">
        <f t="shared" si="11"/>
        <v>30525.859199999992</v>
      </c>
    </row>
    <row r="50" spans="1:8" x14ac:dyDescent="0.25">
      <c r="B50" s="1" t="s">
        <v>29</v>
      </c>
      <c r="C50">
        <v>0</v>
      </c>
      <c r="H50">
        <f>H24-H34</f>
        <v>24240</v>
      </c>
    </row>
    <row r="51" spans="1:8" x14ac:dyDescent="0.25">
      <c r="B51" s="1" t="s">
        <v>24</v>
      </c>
      <c r="C51" s="6">
        <f>C49+C50</f>
        <v>0</v>
      </c>
      <c r="D51" s="6">
        <f t="shared" ref="D51:H51" si="12">D49+D50</f>
        <v>30000</v>
      </c>
      <c r="E51" s="6">
        <f t="shared" si="12"/>
        <v>43200</v>
      </c>
      <c r="F51" s="6">
        <f t="shared" si="12"/>
        <v>85295.999999999971</v>
      </c>
      <c r="G51" s="6">
        <f t="shared" si="12"/>
        <v>67621.599999999977</v>
      </c>
      <c r="H51" s="6">
        <f t="shared" si="12"/>
        <v>54765.859199999992</v>
      </c>
    </row>
    <row r="52" spans="1:8" x14ac:dyDescent="0.25">
      <c r="B52" s="1" t="s">
        <v>25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</row>
    <row r="53" spans="1:8" x14ac:dyDescent="0.25">
      <c r="B53" s="1" t="s">
        <v>30</v>
      </c>
      <c r="C53" s="6">
        <f>C51-C52</f>
        <v>0</v>
      </c>
      <c r="D53" s="6">
        <f t="shared" ref="D53:H53" si="13">D51-D52</f>
        <v>30000</v>
      </c>
      <c r="E53" s="6">
        <f t="shared" si="13"/>
        <v>43200</v>
      </c>
      <c r="F53" s="6">
        <f t="shared" si="13"/>
        <v>85295.999999999971</v>
      </c>
      <c r="G53" s="6">
        <f t="shared" si="13"/>
        <v>67621.599999999977</v>
      </c>
      <c r="H53" s="6">
        <f t="shared" si="13"/>
        <v>54765.859199999992</v>
      </c>
    </row>
    <row r="54" spans="1:8" x14ac:dyDescent="0.25">
      <c r="B54" s="1" t="s">
        <v>26</v>
      </c>
      <c r="C54" s="6">
        <f t="shared" ref="C54:H54" si="14">ir*C53</f>
        <v>0</v>
      </c>
      <c r="D54" s="6">
        <f t="shared" si="14"/>
        <v>10200</v>
      </c>
      <c r="E54" s="6">
        <f t="shared" si="14"/>
        <v>14688.000000000002</v>
      </c>
      <c r="F54" s="6">
        <f t="shared" si="14"/>
        <v>29000.639999999992</v>
      </c>
      <c r="G54" s="6">
        <f t="shared" si="14"/>
        <v>22991.343999999994</v>
      </c>
      <c r="H54" s="6">
        <f t="shared" si="14"/>
        <v>18620.392128</v>
      </c>
    </row>
    <row r="55" spans="1:8" x14ac:dyDescent="0.25">
      <c r="B55" s="10" t="s">
        <v>27</v>
      </c>
      <c r="C55" s="15">
        <f>C53-C54</f>
        <v>0</v>
      </c>
      <c r="D55" s="15">
        <f t="shared" ref="D55:H55" si="15">D53-D54</f>
        <v>19800</v>
      </c>
      <c r="E55" s="15">
        <f t="shared" si="15"/>
        <v>28512</v>
      </c>
      <c r="F55" s="15">
        <f t="shared" si="15"/>
        <v>56295.359999999979</v>
      </c>
      <c r="G55" s="15">
        <f t="shared" si="15"/>
        <v>44630.255999999979</v>
      </c>
      <c r="H55" s="15">
        <f t="shared" si="15"/>
        <v>36145.467071999992</v>
      </c>
    </row>
    <row r="57" spans="1:8" ht="20.25" thickBot="1" x14ac:dyDescent="0.35">
      <c r="A57" s="4" t="s">
        <v>44</v>
      </c>
    </row>
    <row r="58" spans="1:8" ht="15.75" thickTop="1" x14ac:dyDescent="0.25"/>
    <row r="59" spans="1:8" x14ac:dyDescent="0.25">
      <c r="B59" s="11"/>
      <c r="C59" s="14">
        <v>0</v>
      </c>
      <c r="D59" s="14">
        <v>1</v>
      </c>
      <c r="E59" s="14">
        <v>2</v>
      </c>
      <c r="F59" s="14">
        <v>3</v>
      </c>
      <c r="G59" s="14">
        <v>4</v>
      </c>
      <c r="H59" s="14">
        <v>5</v>
      </c>
    </row>
    <row r="60" spans="1:8" x14ac:dyDescent="0.25">
      <c r="B60" s="1" t="s">
        <v>32</v>
      </c>
      <c r="C60" s="3">
        <f t="shared" ref="C60:H60" si="16">lucro</f>
        <v>0</v>
      </c>
      <c r="D60" s="3">
        <f t="shared" si="16"/>
        <v>19800</v>
      </c>
      <c r="E60" s="3">
        <f t="shared" si="16"/>
        <v>28512</v>
      </c>
      <c r="F60" s="3">
        <f t="shared" si="16"/>
        <v>56295.359999999979</v>
      </c>
      <c r="G60" s="3">
        <f t="shared" si="16"/>
        <v>44630.255999999979</v>
      </c>
      <c r="H60" s="3">
        <f t="shared" si="16"/>
        <v>36145.467071999992</v>
      </c>
    </row>
    <row r="61" spans="1:8" x14ac:dyDescent="0.25">
      <c r="B61" s="1" t="s">
        <v>33</v>
      </c>
      <c r="C61" s="3">
        <f t="shared" ref="C61:H61" si="17">depreciação</f>
        <v>0</v>
      </c>
      <c r="D61" s="3">
        <f t="shared" si="17"/>
        <v>20000</v>
      </c>
      <c r="E61" s="3">
        <f t="shared" si="17"/>
        <v>32000</v>
      </c>
      <c r="F61" s="3">
        <f t="shared" si="17"/>
        <v>19200.000000000004</v>
      </c>
      <c r="G61" s="3">
        <f t="shared" si="17"/>
        <v>11520</v>
      </c>
      <c r="H61" s="3">
        <f t="shared" si="17"/>
        <v>11519.999999999998</v>
      </c>
    </row>
    <row r="62" spans="1:8" x14ac:dyDescent="0.25">
      <c r="B62" s="1" t="s">
        <v>34</v>
      </c>
      <c r="C62" s="3">
        <f t="shared" ref="C62:H62" si="18">investimentos-ganhos_capital</f>
        <v>-260000</v>
      </c>
      <c r="D62" s="3">
        <f t="shared" si="18"/>
        <v>0</v>
      </c>
      <c r="E62" s="3">
        <f t="shared" si="18"/>
        <v>-6320</v>
      </c>
      <c r="F62" s="3">
        <f t="shared" si="18"/>
        <v>-8650</v>
      </c>
      <c r="G62" s="3">
        <f t="shared" si="18"/>
        <v>3750</v>
      </c>
      <c r="H62" s="3">
        <f t="shared" si="18"/>
        <v>176980</v>
      </c>
    </row>
    <row r="63" spans="1:8" x14ac:dyDescent="0.25">
      <c r="B63" s="10" t="s">
        <v>31</v>
      </c>
      <c r="C63" s="13">
        <f>SUM(C60:C62)</f>
        <v>-260000</v>
      </c>
      <c r="D63" s="13">
        <f t="shared" ref="D63:H63" si="19">SUM(D60:D62)</f>
        <v>39800</v>
      </c>
      <c r="E63" s="13">
        <f t="shared" si="19"/>
        <v>54192</v>
      </c>
      <c r="F63" s="13">
        <f t="shared" si="19"/>
        <v>66845.359999999986</v>
      </c>
      <c r="G63" s="13">
        <f t="shared" si="19"/>
        <v>59900.255999999979</v>
      </c>
      <c r="H63" s="13">
        <f t="shared" si="19"/>
        <v>224645.467072</v>
      </c>
    </row>
    <row r="65" spans="1:8" x14ac:dyDescent="0.25">
      <c r="B65" s="1" t="s">
        <v>42</v>
      </c>
      <c r="C65" s="16">
        <f>IRR(C63:H63)</f>
        <v>0.15677157864804792</v>
      </c>
    </row>
    <row r="66" spans="1:8" x14ac:dyDescent="0.25">
      <c r="B66" s="1" t="s">
        <v>43</v>
      </c>
      <c r="C66" s="16">
        <v>0.15</v>
      </c>
    </row>
    <row r="67" spans="1:8" x14ac:dyDescent="0.25">
      <c r="B67" s="1" t="s">
        <v>35</v>
      </c>
      <c r="C67" s="7">
        <f>NPV(tx_desc,fluxo_caixa)</f>
        <v>4760.1810707402692</v>
      </c>
    </row>
    <row r="70" spans="1:8" ht="20.25" thickBot="1" x14ac:dyDescent="0.35">
      <c r="A70" s="4" t="s">
        <v>45</v>
      </c>
    </row>
    <row r="71" spans="1:8" ht="15.75" thickTop="1" x14ac:dyDescent="0.25">
      <c r="B71" s="1" t="s">
        <v>46</v>
      </c>
      <c r="C71" s="2">
        <v>0.05</v>
      </c>
    </row>
    <row r="73" spans="1:8" x14ac:dyDescent="0.25">
      <c r="B73" s="11"/>
      <c r="C73" s="14">
        <v>0</v>
      </c>
      <c r="D73" s="14">
        <v>1</v>
      </c>
      <c r="E73" s="14">
        <v>2</v>
      </c>
      <c r="F73" s="14">
        <v>3</v>
      </c>
      <c r="G73" s="14">
        <v>4</v>
      </c>
      <c r="H73" s="14">
        <v>5</v>
      </c>
    </row>
    <row r="74" spans="1:8" x14ac:dyDescent="0.25">
      <c r="B74" s="10" t="s">
        <v>31</v>
      </c>
      <c r="C74" s="13">
        <f t="shared" ref="C74:H74" si="20">fluxo_caixa/(1+taxa_inflação)^C73</f>
        <v>-260000</v>
      </c>
      <c r="D74" s="13">
        <f t="shared" si="20"/>
        <v>37904.761904761901</v>
      </c>
      <c r="E74" s="13">
        <f t="shared" si="20"/>
        <v>49153.741496598639</v>
      </c>
      <c r="F74" s="13">
        <f t="shared" si="20"/>
        <v>57743.535255371971</v>
      </c>
      <c r="G74" s="13">
        <f t="shared" si="20"/>
        <v>49280.088851867258</v>
      </c>
      <c r="H74" s="13">
        <f t="shared" si="20"/>
        <v>176015.60162944059</v>
      </c>
    </row>
    <row r="76" spans="1:8" x14ac:dyDescent="0.25">
      <c r="B76" t="s">
        <v>47</v>
      </c>
      <c r="C76" s="16">
        <f>IRR(C74:H74)</f>
        <v>0.10168721776004896</v>
      </c>
    </row>
    <row r="77" spans="1:8" x14ac:dyDescent="0.25">
      <c r="B77" s="1" t="s">
        <v>48</v>
      </c>
      <c r="C77" s="17">
        <f>(1+tx_desc)/(1+taxa_inflação)-1</f>
        <v>9.5238095238095122E-2</v>
      </c>
    </row>
    <row r="78" spans="1:8" x14ac:dyDescent="0.25">
      <c r="B78" t="s">
        <v>49</v>
      </c>
      <c r="C78" s="7">
        <f>NPV(tx_desc_real,fluxo_caixa_real)</f>
        <v>4998.1901242773092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C8" sqref="C8"/>
    </sheetView>
  </sheetViews>
  <sheetFormatPr defaultRowHeight="15" x14ac:dyDescent="0.25"/>
  <cols>
    <col min="2" max="2" width="27.5703125" bestFit="1" customWidth="1"/>
  </cols>
  <sheetData>
    <row r="2" spans="2:3" ht="20.25" thickBot="1" x14ac:dyDescent="0.35">
      <c r="B2" s="4" t="s">
        <v>37</v>
      </c>
    </row>
    <row r="3" spans="2:3" ht="15.75" thickTop="1" x14ac:dyDescent="0.25"/>
    <row r="4" spans="2:3" x14ac:dyDescent="0.25">
      <c r="B4" t="s">
        <v>38</v>
      </c>
      <c r="C4">
        <v>9000</v>
      </c>
    </row>
    <row r="5" spans="2:3" x14ac:dyDescent="0.25">
      <c r="B5" t="s">
        <v>39</v>
      </c>
      <c r="C5">
        <v>3000</v>
      </c>
    </row>
    <row r="6" spans="2:3" x14ac:dyDescent="0.25">
      <c r="B6" t="s">
        <v>40</v>
      </c>
      <c r="C6">
        <v>2500</v>
      </c>
    </row>
    <row r="7" spans="2:3" x14ac:dyDescent="0.25">
      <c r="B7" t="s">
        <v>41</v>
      </c>
      <c r="C7">
        <v>1500</v>
      </c>
    </row>
    <row r="8" spans="2:3" x14ac:dyDescent="0.25">
      <c r="B8" t="s">
        <v>13</v>
      </c>
      <c r="C8">
        <f>SUM(C6:C7,C4)-C5</f>
        <v>10000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19</vt:i4>
      </vt:variant>
    </vt:vector>
  </HeadingPairs>
  <TitlesOfParts>
    <vt:vector size="21" baseType="lpstr">
      <vt:lpstr>Plan1</vt:lpstr>
      <vt:lpstr>capital de giro</vt:lpstr>
      <vt:lpstr>custo</vt:lpstr>
      <vt:lpstr>custo_unit</vt:lpstr>
      <vt:lpstr>depreciação</vt:lpstr>
      <vt:lpstr>fluxo_caixa</vt:lpstr>
      <vt:lpstr>fluxo_caixa_real</vt:lpstr>
      <vt:lpstr>ganhos_capital</vt:lpstr>
      <vt:lpstr>investimentos</vt:lpstr>
      <vt:lpstr>ir</vt:lpstr>
      <vt:lpstr>lucro</vt:lpstr>
      <vt:lpstr>preço</vt:lpstr>
      <vt:lpstr>produção</vt:lpstr>
      <vt:lpstr>receita</vt:lpstr>
      <vt:lpstr>taxa_depreciação</vt:lpstr>
      <vt:lpstr>taxa_inflação</vt:lpstr>
      <vt:lpstr>tx_custos_operacionais</vt:lpstr>
      <vt:lpstr>tx_desc</vt:lpstr>
      <vt:lpstr>tx_desc_real</vt:lpstr>
      <vt:lpstr>tx_preço_produto</vt:lpstr>
      <vt:lpstr>vendas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dcterms:created xsi:type="dcterms:W3CDTF">2014-10-05T15:38:19Z</dcterms:created>
  <dcterms:modified xsi:type="dcterms:W3CDTF">2014-10-19T12:05:34Z</dcterms:modified>
</cp:coreProperties>
</file>